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Test\"/>
    </mc:Choice>
  </mc:AlternateContent>
  <xr:revisionPtr revIDLastSave="0" documentId="13_ncr:1_{14A92FB7-7329-45DF-A356-DD55A538FBD8}" xr6:coauthVersionLast="32" xr6:coauthVersionMax="32" xr10:uidLastSave="{00000000-0000-0000-0000-000000000000}"/>
  <bookViews>
    <workbookView xWindow="0" yWindow="0" windowWidth="23451" windowHeight="11366" xr2:uid="{00000000-000D-0000-FFFF-FFFF00000000}"/>
  </bookViews>
  <sheets>
    <sheet name="Daten" sheetId="1" r:id="rId1"/>
    <sheet name="Abweichung" sheetId="3" r:id="rId2"/>
  </sheets>
  <definedNames>
    <definedName name="FLO_c_r_3112_c_3112">Daten!$D$41</definedName>
    <definedName name="FLO_c_r_3113_c_3113">Daten!$E$41</definedName>
    <definedName name="FLO_c_r_3114_c_3114">Daten!$F$41</definedName>
    <definedName name="FLO_c_r_3115_c_3115">Daten!$G$41</definedName>
    <definedName name="FLO_c_r_3116_c_3116">Daten!$H$41</definedName>
    <definedName name="FLO_c_r_3117_c_3117">Daten!$I$41</definedName>
    <definedName name="FLO_c_r_3118_c_3118">Daten!$J$41</definedName>
    <definedName name="FLO_c_r_3119_c_3119">Daten!$K$41</definedName>
    <definedName name="FLO_c_r_3120_c_3120">Daten!$L$41</definedName>
    <definedName name="FLO_c_r_3121_c_3121">Daten!$M$41</definedName>
    <definedName name="FLO_c_r_3122_c_3122">Daten!$N$41</definedName>
    <definedName name="FLO_c_r_3123_c_3123">Daten!$O$41</definedName>
    <definedName name="FLO_c_r_3124_c_3124">Daten!$P$41</definedName>
    <definedName name="FLO_c_r_3125_c_3125">Daten!$Q$41</definedName>
    <definedName name="FLO_i_c_3112">Daten!$D$37</definedName>
    <definedName name="FLO_i_c_3113">Daten!$E$37</definedName>
    <definedName name="FLO_i_c_3114">Daten!$F$37</definedName>
    <definedName name="FLO_i_c_3115">Daten!$G$37</definedName>
    <definedName name="FLO_i_c_3116">Daten!$H$37</definedName>
    <definedName name="FLO_i_c_3117">Daten!$I$37</definedName>
    <definedName name="FLO_i_c_3118">Daten!$J$37</definedName>
    <definedName name="FLO_i_c_3119">Daten!$K$37</definedName>
    <definedName name="FLO_i_c_3120">Daten!$L$37</definedName>
    <definedName name="FLO_i_c_3121">Daten!$M$37</definedName>
    <definedName name="FLO_i_c_3122">Daten!$N$37</definedName>
    <definedName name="FLO_i_c_3123">Daten!$O$37</definedName>
    <definedName name="FLO_i_c_3124">Daten!$P$37</definedName>
    <definedName name="FLO_i_c_3125">Daten!$Q$37</definedName>
    <definedName name="FLO_i_MA_Parameter">Daten!$C$29</definedName>
    <definedName name="FLO_i_r_3112">Daten!$D$33</definedName>
    <definedName name="FLO_i_r_3113">Daten!$E$33</definedName>
    <definedName name="FLO_i_r_3114">Daten!$F$33</definedName>
    <definedName name="FLO_i_r_3115">Daten!$G$33</definedName>
    <definedName name="FLO_i_r_3116">Daten!$H$33</definedName>
    <definedName name="FLO_i_r_3117">Daten!$I$33</definedName>
    <definedName name="FLO_i_r_3118">Daten!$J$33</definedName>
    <definedName name="FLO_i_r_3119">Daten!$K$33</definedName>
    <definedName name="FLO_i_r_3120">Daten!$L$33</definedName>
    <definedName name="FLO_i_r_3121">Daten!$M$33</definedName>
    <definedName name="FLO_i_r_3122">Daten!$N$33</definedName>
    <definedName name="FLO_i_r_3123">Daten!$O$33</definedName>
    <definedName name="FLO_i_r_3124">Daten!$P$33</definedName>
    <definedName name="FLO_i_r_3125">Daten!$Q$33</definedName>
    <definedName name="FLO_o_e_3112">Daten!$D$39</definedName>
    <definedName name="FLO_o_e_3113">Daten!$E$39</definedName>
    <definedName name="FLO_o_e_3114">Daten!$F$39</definedName>
    <definedName name="FLO_o_e_3115">Daten!$G$39</definedName>
    <definedName name="FLO_o_e_3116">Daten!$H$39</definedName>
    <definedName name="FLO_o_e_3117">Daten!$I$39</definedName>
    <definedName name="FLO_o_e_3118">Daten!$J$39</definedName>
    <definedName name="FLO_o_e_3119">Daten!$K$39</definedName>
    <definedName name="FLO_o_e_3120">Daten!$L$39</definedName>
    <definedName name="FLO_o_e_3121">Daten!$M$39</definedName>
    <definedName name="FLO_o_e_3122">Daten!$N$39</definedName>
    <definedName name="FLO_o_e_3123">Daten!$O$39</definedName>
    <definedName name="FLO_o_e_3124">Daten!$P$39</definedName>
    <definedName name="FLO_o_e_3125">Daten!$Q$39</definedName>
    <definedName name="FLO_o_Earnings">Daten!$D$44</definedName>
    <definedName name="FLO_o_S_3112">Daten!$D$36</definedName>
    <definedName name="FLO_o_S_3113">Daten!$E$36</definedName>
    <definedName name="FLO_o_S_3114">Daten!$F$36</definedName>
    <definedName name="FLO_o_S_3115">Daten!$G$36</definedName>
    <definedName name="FLO_o_S_3116">Daten!$H$36</definedName>
    <definedName name="FLO_o_S_3117">Daten!$I$36</definedName>
    <definedName name="FLO_o_S_3118">Daten!$J$36</definedName>
    <definedName name="FLO_o_S_3119">Daten!$K$36</definedName>
    <definedName name="FLO_o_S_3120">Daten!$L$36</definedName>
    <definedName name="FLO_o_S_3121">Daten!$M$36</definedName>
    <definedName name="FLO_o_S_3122">Daten!$N$36</definedName>
    <definedName name="FLO_o_S_3123">Daten!$O$36</definedName>
    <definedName name="FLO_o_S_3124">Daten!$P$36</definedName>
    <definedName name="FLO_o_S_3125">Daten!$Q$36</definedName>
  </definedNames>
  <calcPr calcId="179017" calcMode="autoNoTable" calcOnSave="0"/>
</workbook>
</file>

<file path=xl/calcChain.xml><?xml version="1.0" encoding="utf-8"?>
<calcChain xmlns="http://schemas.openxmlformats.org/spreadsheetml/2006/main">
  <c r="E15" i="3" l="1"/>
  <c r="E14" i="3"/>
  <c r="E13" i="3"/>
  <c r="E12" i="3"/>
  <c r="D15" i="3"/>
  <c r="D14" i="3"/>
  <c r="D13" i="3"/>
  <c r="D12" i="3"/>
  <c r="E9" i="3"/>
  <c r="D9" i="3"/>
  <c r="E8" i="3"/>
  <c r="D8" i="3"/>
  <c r="E7" i="3"/>
  <c r="D7" i="3"/>
  <c r="E6" i="3"/>
  <c r="D6" i="3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29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D41" i="1"/>
  <c r="N41" i="1"/>
  <c r="J41" i="1"/>
  <c r="F41" i="1"/>
  <c r="Q41" i="1"/>
  <c r="M41" i="1"/>
  <c r="I41" i="1"/>
  <c r="E41" i="1"/>
  <c r="P41" i="1"/>
  <c r="L41" i="1"/>
  <c r="H41" i="1"/>
  <c r="O41" i="1"/>
  <c r="K41" i="1"/>
  <c r="G41" i="1"/>
  <c r="G13" i="3" l="1"/>
  <c r="G14" i="3"/>
  <c r="G15" i="3"/>
  <c r="G12" i="3"/>
  <c r="G7" i="3"/>
  <c r="G8" i="3"/>
  <c r="G9" i="3"/>
  <c r="G6" i="3"/>
  <c r="F36" i="1"/>
  <c r="J36" i="1"/>
  <c r="N36" i="1"/>
  <c r="I36" i="1"/>
  <c r="G36" i="1"/>
  <c r="K36" i="1"/>
  <c r="O36" i="1"/>
  <c r="P36" i="1"/>
  <c r="Q36" i="1"/>
  <c r="H36" i="1"/>
  <c r="L36" i="1"/>
  <c r="M36" i="1"/>
  <c r="E36" i="1"/>
  <c r="D36" i="1"/>
  <c r="G16" i="3" l="1"/>
  <c r="G10" i="3"/>
  <c r="H39" i="1"/>
  <c r="Q39" i="1"/>
  <c r="G39" i="1"/>
  <c r="I39" i="1"/>
  <c r="N39" i="1"/>
  <c r="O39" i="1"/>
  <c r="D39" i="1"/>
  <c r="P39" i="1"/>
  <c r="K39" i="1"/>
  <c r="J39" i="1"/>
  <c r="L39" i="1"/>
  <c r="M39" i="1"/>
  <c r="E39" i="1"/>
  <c r="F39" i="1"/>
  <c r="G18" i="3" l="1"/>
  <c r="D44" i="1"/>
</calcChain>
</file>

<file path=xl/sharedStrings.xml><?xml version="1.0" encoding="utf-8"?>
<sst xmlns="http://schemas.openxmlformats.org/spreadsheetml/2006/main" count="96" uniqueCount="94">
  <si>
    <t>S_3112</t>
  </si>
  <si>
    <t>S_3113</t>
  </si>
  <si>
    <t>S_3114</t>
  </si>
  <si>
    <t>S_3115</t>
  </si>
  <si>
    <t>S_3116</t>
  </si>
  <si>
    <t>S_3117</t>
  </si>
  <si>
    <t>S_3118</t>
  </si>
  <si>
    <t>S_3119</t>
  </si>
  <si>
    <t>S_3120</t>
  </si>
  <si>
    <t>S_3121</t>
  </si>
  <si>
    <t>S_3122</t>
  </si>
  <si>
    <t>S_3123</t>
  </si>
  <si>
    <t>S_3124</t>
  </si>
  <si>
    <t>S_3125</t>
  </si>
  <si>
    <t>Mittelwert</t>
  </si>
  <si>
    <t>Werte</t>
  </si>
  <si>
    <t>Modell 1</t>
  </si>
  <si>
    <t>Modell 2</t>
  </si>
  <si>
    <t>t=1</t>
  </si>
  <si>
    <t>t=0</t>
  </si>
  <si>
    <t>Mittlere Differenz im Extremfall</t>
  </si>
  <si>
    <t>untere Grenze Normalverteilung</t>
  </si>
  <si>
    <t>obere Grenze Normalverteilung</t>
  </si>
  <si>
    <t>Unkown parameters</t>
  </si>
  <si>
    <t>random variable</t>
  </si>
  <si>
    <t>Average</t>
  </si>
  <si>
    <t>standard deviation</t>
  </si>
  <si>
    <t>cost variable</t>
  </si>
  <si>
    <t>lower bound</t>
  </si>
  <si>
    <t>upper bound</t>
  </si>
  <si>
    <t>modal value</t>
  </si>
  <si>
    <t>lower bound MA</t>
  </si>
  <si>
    <t>upper bound MA</t>
  </si>
  <si>
    <t>Known parameters</t>
  </si>
  <si>
    <t>Average MA model</t>
  </si>
  <si>
    <t>correlation random variable / costs</t>
  </si>
  <si>
    <t>r_3112</t>
  </si>
  <si>
    <t>r_3113</t>
  </si>
  <si>
    <t>r_3114</t>
  </si>
  <si>
    <t>r_3115</t>
  </si>
  <si>
    <t>r_3116</t>
  </si>
  <si>
    <t>r_3117</t>
  </si>
  <si>
    <t>r_3118</t>
  </si>
  <si>
    <t>r_3119</t>
  </si>
  <si>
    <t>r_3120</t>
  </si>
  <si>
    <t>r_3121</t>
  </si>
  <si>
    <t>r_3122</t>
  </si>
  <si>
    <t>r_3123</t>
  </si>
  <si>
    <t>r_3124</t>
  </si>
  <si>
    <t>r_3125</t>
  </si>
  <si>
    <t>name random variable</t>
  </si>
  <si>
    <t>name cost variable</t>
  </si>
  <si>
    <t>c_3112</t>
  </si>
  <si>
    <t>c_3113</t>
  </si>
  <si>
    <t>c_3114</t>
  </si>
  <si>
    <t>c_3115</t>
  </si>
  <si>
    <t>c_3116</t>
  </si>
  <si>
    <t>c_3117</t>
  </si>
  <si>
    <t>c_3118</t>
  </si>
  <si>
    <t>c_3119</t>
  </si>
  <si>
    <t>c_3120</t>
  </si>
  <si>
    <t>c_3121</t>
  </si>
  <si>
    <t>c_3122</t>
  </si>
  <si>
    <t>c_3123</t>
  </si>
  <si>
    <t>c_3124</t>
  </si>
  <si>
    <t>c_3125</t>
  </si>
  <si>
    <t>name MA time proces</t>
  </si>
  <si>
    <t>Costs</t>
  </si>
  <si>
    <t>Earnings</t>
  </si>
  <si>
    <t>correlation</t>
  </si>
  <si>
    <t>Expected earnings (14 weeks)</t>
  </si>
  <si>
    <t>Revenue (MA process)</t>
  </si>
  <si>
    <t>Moving Average model MA(1)</t>
  </si>
  <si>
    <t>Model</t>
  </si>
  <si>
    <t>random process</t>
  </si>
  <si>
    <t>name earnings</t>
  </si>
  <si>
    <t>e_3112</t>
  </si>
  <si>
    <t>e_3113</t>
  </si>
  <si>
    <t>e_3114</t>
  </si>
  <si>
    <t>e_3115</t>
  </si>
  <si>
    <t>e_3116</t>
  </si>
  <si>
    <t>e_3117</t>
  </si>
  <si>
    <t>e_3118</t>
  </si>
  <si>
    <t>e_3119</t>
  </si>
  <si>
    <t>e_3120</t>
  </si>
  <si>
    <t>e_3121</t>
  </si>
  <si>
    <t>e_3122</t>
  </si>
  <si>
    <t>e_3123</t>
  </si>
  <si>
    <t>e_3124</t>
  </si>
  <si>
    <t>e_3125</t>
  </si>
  <si>
    <t>Weight MA model (lower)</t>
  </si>
  <si>
    <t>Weight MA model (upper)</t>
  </si>
  <si>
    <t>Weight MA model (modal)</t>
  </si>
  <si>
    <t>MA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</si>
</sst>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-* #,##0.00_-;\-* #,##0.00_-;_-* &quot;-&quot;??_-;_-@_-"/>
    <numFmt numFmtId="166" formatCode="###,000"/>
    <numFmt numFmtId="173" formatCode="0.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8"/>
      <color rgb="FF00CC00"/>
      <name val="Arial"/>
      <family val="2"/>
    </font>
    <font>
      <b/>
      <sz val="8"/>
      <color rgb="FF92D050"/>
      <name val="Arial"/>
      <family val="2"/>
    </font>
    <font>
      <b/>
      <sz val="8"/>
      <color rgb="FF33CC33"/>
      <name val="Arial"/>
      <family val="2"/>
    </font>
    <font>
      <b/>
      <sz val="8"/>
      <color rgb="FFFF9900"/>
      <name val="Arial"/>
      <family val="2"/>
    </font>
    <font>
      <b/>
      <sz val="8"/>
      <color rgb="FFFF0000"/>
      <name val="Arial"/>
      <family val="2"/>
    </font>
    <font>
      <sz val="8"/>
      <color rgb="FF1F497D"/>
      <name val="Verdana"/>
      <family val="2"/>
    </font>
    <font>
      <sz val="8"/>
      <color theme="0" tint="-0.14996795556505021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1F497D"/>
      <name val="Arial"/>
      <family val="2"/>
    </font>
    <font>
      <b/>
      <sz val="8"/>
      <color rgb="FF1F497D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0" tint="-0.14996795556505021"/>
        <bgColor theme="1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rgb="FFBFBFBF"/>
      </top>
      <bottom style="thin">
        <color rgb="FFBFBFBF"/>
      </bottom>
      <diagonal/>
    </border>
    <border>
      <left style="thick">
        <color rgb="FFFFFFFF"/>
      </left>
      <right style="thick">
        <color rgb="FFFFFFFF"/>
      </right>
      <top style="thin">
        <color rgb="FF000000"/>
      </top>
      <bottom style="thin">
        <color rgb="FFBFBFBF"/>
      </bottom>
      <diagonal/>
    </border>
    <border>
      <left style="thick">
        <color theme="0"/>
      </left>
      <right style="thick">
        <color theme="0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 style="thin">
        <color rgb="FF000000"/>
      </top>
      <bottom style="thin">
        <color rgb="FFBFBFBF"/>
      </bottom>
      <diagonal/>
    </border>
  </borders>
  <cellStyleXfs count="12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7" fillId="21" borderId="0" applyNumberFormat="0" applyBorder="0" applyAlignment="0" applyProtection="0"/>
    <xf numFmtId="0" fontId="8" fillId="24" borderId="2" applyNumberFormat="0" applyAlignment="0" applyProtection="0"/>
    <xf numFmtId="0" fontId="9" fillId="16" borderId="3" applyNumberForma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Font="0" applyAlignment="0" applyProtection="0"/>
    <xf numFmtId="0" fontId="18" fillId="24" borderId="8" applyNumberFormat="0" applyAlignment="0" applyProtection="0"/>
    <xf numFmtId="4" fontId="17" fillId="28" borderId="2" applyNumberFormat="0" applyProtection="0">
      <alignment vertical="center"/>
    </xf>
    <xf numFmtId="4" fontId="19" fillId="29" borderId="2" applyNumberFormat="0" applyProtection="0">
      <alignment vertical="center"/>
    </xf>
    <xf numFmtId="4" fontId="17" fillId="29" borderId="2" applyNumberFormat="0" applyProtection="0">
      <alignment horizontal="left" vertical="center" indent="1"/>
    </xf>
    <xf numFmtId="0" fontId="20" fillId="28" borderId="9" applyNumberFormat="0" applyProtection="0">
      <alignment horizontal="left" vertical="top" indent="1"/>
    </xf>
    <xf numFmtId="4" fontId="17" fillId="30" borderId="2" applyNumberFormat="0" applyProtection="0">
      <alignment horizontal="left" vertical="center" indent="1"/>
    </xf>
    <xf numFmtId="4" fontId="17" fillId="31" borderId="2" applyNumberFormat="0" applyProtection="0">
      <alignment horizontal="right" vertical="center"/>
    </xf>
    <xf numFmtId="4" fontId="17" fillId="32" borderId="2" applyNumberFormat="0" applyProtection="0">
      <alignment horizontal="right" vertical="center"/>
    </xf>
    <xf numFmtId="4" fontId="17" fillId="33" borderId="10" applyNumberFormat="0" applyProtection="0">
      <alignment horizontal="right" vertical="center"/>
    </xf>
    <xf numFmtId="4" fontId="17" fillId="34" borderId="2" applyNumberFormat="0" applyProtection="0">
      <alignment horizontal="right" vertical="center"/>
    </xf>
    <xf numFmtId="4" fontId="17" fillId="35" borderId="2" applyNumberFormat="0" applyProtection="0">
      <alignment horizontal="right" vertical="center"/>
    </xf>
    <xf numFmtId="4" fontId="17" fillId="36" borderId="2" applyNumberFormat="0" applyProtection="0">
      <alignment horizontal="right" vertical="center"/>
    </xf>
    <xf numFmtId="4" fontId="17" fillId="37" borderId="2" applyNumberFormat="0" applyProtection="0">
      <alignment horizontal="right" vertical="center"/>
    </xf>
    <xf numFmtId="4" fontId="17" fillId="38" borderId="2" applyNumberFormat="0" applyProtection="0">
      <alignment horizontal="right" vertical="center"/>
    </xf>
    <xf numFmtId="4" fontId="17" fillId="39" borderId="2" applyNumberFormat="0" applyProtection="0">
      <alignment horizontal="right" vertical="center"/>
    </xf>
    <xf numFmtId="4" fontId="17" fillId="40" borderId="10" applyNumberFormat="0" applyProtection="0">
      <alignment horizontal="left" vertical="center" indent="1"/>
    </xf>
    <xf numFmtId="4" fontId="10" fillId="41" borderId="10" applyNumberFormat="0" applyProtection="0">
      <alignment horizontal="left" vertical="center" indent="1"/>
    </xf>
    <xf numFmtId="4" fontId="10" fillId="41" borderId="10" applyNumberFormat="0" applyProtection="0">
      <alignment horizontal="left" vertical="center" indent="1"/>
    </xf>
    <xf numFmtId="4" fontId="17" fillId="42" borderId="2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17" fillId="44" borderId="2" applyNumberFormat="0" applyProtection="0">
      <alignment horizontal="left" vertical="center" indent="1"/>
    </xf>
    <xf numFmtId="0" fontId="17" fillId="41" borderId="9" applyNumberFormat="0" applyProtection="0">
      <alignment horizontal="left" vertical="top" indent="1"/>
    </xf>
    <xf numFmtId="0" fontId="17" fillId="45" borderId="2" applyNumberFormat="0" applyProtection="0">
      <alignment horizontal="left" vertical="center" indent="1"/>
    </xf>
    <xf numFmtId="0" fontId="17" fillId="42" borderId="9" applyNumberFormat="0" applyProtection="0">
      <alignment horizontal="left" vertical="top" indent="1"/>
    </xf>
    <xf numFmtId="0" fontId="17" fillId="46" borderId="2" applyNumberFormat="0" applyProtection="0">
      <alignment horizontal="left" vertical="center" indent="1"/>
    </xf>
    <xf numFmtId="0" fontId="17" fillId="46" borderId="9" applyNumberFormat="0" applyProtection="0">
      <alignment horizontal="left" vertical="top" indent="1"/>
    </xf>
    <xf numFmtId="0" fontId="17" fillId="43" borderId="2" applyNumberFormat="0" applyProtection="0">
      <alignment horizontal="left" vertical="center" indent="1"/>
    </xf>
    <xf numFmtId="0" fontId="17" fillId="43" borderId="9" applyNumberFormat="0" applyProtection="0">
      <alignment horizontal="left" vertical="top" indent="1"/>
    </xf>
    <xf numFmtId="0" fontId="17" fillId="47" borderId="11" applyNumberFormat="0">
      <protection locked="0"/>
    </xf>
    <xf numFmtId="0" fontId="21" fillId="41" borderId="12" applyBorder="0"/>
    <xf numFmtId="4" fontId="22" fillId="48" borderId="9" applyNumberFormat="0" applyProtection="0">
      <alignment vertical="center"/>
    </xf>
    <xf numFmtId="4" fontId="19" fillId="49" borderId="13" applyNumberFormat="0" applyProtection="0">
      <alignment vertical="center"/>
    </xf>
    <xf numFmtId="4" fontId="22" fillId="44" borderId="9" applyNumberFormat="0" applyProtection="0">
      <alignment horizontal="left" vertical="center" indent="1"/>
    </xf>
    <xf numFmtId="0" fontId="22" fillId="48" borderId="9" applyNumberFormat="0" applyProtection="0">
      <alignment horizontal="left" vertical="top" indent="1"/>
    </xf>
    <xf numFmtId="4" fontId="17" fillId="0" borderId="2" applyNumberFormat="0" applyProtection="0">
      <alignment horizontal="right" vertical="center"/>
    </xf>
    <xf numFmtId="4" fontId="19" fillId="50" borderId="2" applyNumberFormat="0" applyProtection="0">
      <alignment horizontal="right" vertical="center"/>
    </xf>
    <xf numFmtId="4" fontId="17" fillId="30" borderId="2" applyNumberFormat="0" applyProtection="0">
      <alignment horizontal="left" vertical="center" indent="1"/>
    </xf>
    <xf numFmtId="0" fontId="22" fillId="42" borderId="9" applyNumberFormat="0" applyProtection="0">
      <alignment horizontal="left" vertical="top" indent="1"/>
    </xf>
    <xf numFmtId="4" fontId="23" fillId="51" borderId="10" applyNumberFormat="0" applyProtection="0">
      <alignment horizontal="left" vertical="center" indent="1"/>
    </xf>
    <xf numFmtId="0" fontId="17" fillId="52" borderId="13"/>
    <xf numFmtId="4" fontId="24" fillId="47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" fillId="0" borderId="0"/>
    <xf numFmtId="0" fontId="11" fillId="0" borderId="14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27" fillId="0" borderId="0" applyNumberFormat="0" applyFont="0" applyFill="0" applyAlignment="0" applyProtection="0"/>
    <xf numFmtId="166" fontId="28" fillId="0" borderId="15" applyNumberFormat="0" applyProtection="0">
      <alignment horizontal="right" vertical="center"/>
    </xf>
    <xf numFmtId="166" fontId="29" fillId="0" borderId="16" applyNumberFormat="0" applyProtection="0">
      <alignment horizontal="right" vertical="center"/>
    </xf>
    <xf numFmtId="0" fontId="29" fillId="0" borderId="0" applyNumberFormat="0" applyProtection="0">
      <alignment horizontal="left" vertical="top"/>
    </xf>
    <xf numFmtId="0" fontId="27" fillId="53" borderId="17" applyNumberFormat="0" applyAlignment="0" applyProtection="0">
      <alignment horizontal="left" vertical="center" indent="1"/>
    </xf>
    <xf numFmtId="0" fontId="27" fillId="53" borderId="17" applyNumberFormat="0" applyAlignment="0" applyProtection="0">
      <alignment horizontal="left" vertical="center" indent="1"/>
    </xf>
    <xf numFmtId="0" fontId="30" fillId="0" borderId="18" applyNumberFormat="0" applyFill="0" applyAlignment="0" applyProtection="0"/>
    <xf numFmtId="166" fontId="31" fillId="54" borderId="17" applyNumberFormat="0" applyAlignment="0" applyProtection="0">
      <alignment horizontal="right" vertical="center" indent="1"/>
    </xf>
    <xf numFmtId="166" fontId="32" fillId="55" borderId="17" applyNumberFormat="0" applyAlignment="0" applyProtection="0">
      <alignment horizontal="right" vertical="center" indent="1"/>
    </xf>
    <xf numFmtId="166" fontId="33" fillId="56" borderId="17" applyNumberFormat="0" applyAlignment="0" applyProtection="0">
      <alignment horizontal="right" vertical="center" indent="1"/>
    </xf>
    <xf numFmtId="166" fontId="34" fillId="57" borderId="17" applyNumberFormat="0" applyAlignment="0" applyProtection="0">
      <alignment horizontal="right" vertical="center" indent="1"/>
    </xf>
    <xf numFmtId="166" fontId="34" fillId="58" borderId="17" applyNumberFormat="0" applyAlignment="0" applyProtection="0">
      <alignment horizontal="right" vertical="center" indent="1"/>
    </xf>
    <xf numFmtId="166" fontId="34" fillId="59" borderId="17" applyNumberFormat="0" applyAlignment="0" applyProtection="0">
      <alignment horizontal="right" vertical="center" indent="1"/>
    </xf>
    <xf numFmtId="166" fontId="35" fillId="60" borderId="17" applyNumberFormat="0" applyAlignment="0" applyProtection="0">
      <alignment horizontal="right" vertical="center" indent="1"/>
    </xf>
    <xf numFmtId="166" fontId="35" fillId="61" borderId="17" applyNumberFormat="0" applyAlignment="0" applyProtection="0">
      <alignment horizontal="right" vertical="center" indent="1"/>
    </xf>
    <xf numFmtId="166" fontId="35" fillId="62" borderId="17" applyNumberFormat="0" applyAlignment="0" applyProtection="0">
      <alignment horizontal="right" vertical="center" indent="1"/>
    </xf>
    <xf numFmtId="166" fontId="36" fillId="63" borderId="19" applyNumberFormat="0" applyAlignment="0" applyProtection="0">
      <alignment horizontal="left" vertical="center" indent="1"/>
    </xf>
    <xf numFmtId="0" fontId="37" fillId="64" borderId="20" applyNumberFormat="0" applyAlignment="0" applyProtection="0"/>
    <xf numFmtId="0" fontId="38" fillId="65" borderId="17" applyNumberFormat="0" applyAlignment="0" applyProtection="0">
      <alignment horizontal="left" vertical="center" indent="1"/>
    </xf>
    <xf numFmtId="0" fontId="39" fillId="65" borderId="21" applyNumberFormat="0" applyAlignment="0" applyProtection="0">
      <alignment horizontal="left" vertical="center" indent="1"/>
    </xf>
    <xf numFmtId="0" fontId="27" fillId="66" borderId="17" applyNumberFormat="0" applyAlignment="0" applyProtection="0">
      <alignment horizontal="left" vertical="center" indent="1"/>
    </xf>
    <xf numFmtId="0" fontId="39" fillId="66" borderId="21" applyNumberFormat="0" applyAlignment="0" applyProtection="0">
      <alignment horizontal="left" vertical="center" indent="1"/>
    </xf>
    <xf numFmtId="0" fontId="27" fillId="65" borderId="17" applyNumberFormat="0" applyAlignment="0" applyProtection="0">
      <alignment horizontal="left" vertical="center" indent="1"/>
    </xf>
    <xf numFmtId="0" fontId="39" fillId="65" borderId="21" applyNumberFormat="0" applyAlignment="0" applyProtection="0">
      <alignment horizontal="left" vertical="center" indent="1"/>
    </xf>
    <xf numFmtId="0" fontId="27" fillId="65" borderId="17" applyNumberFormat="0" applyAlignment="0" applyProtection="0">
      <alignment horizontal="left" vertical="center" indent="1"/>
    </xf>
    <xf numFmtId="0" fontId="27" fillId="65" borderId="21" applyNumberFormat="0" applyAlignment="0" applyProtection="0">
      <alignment horizontal="left" vertical="center" indent="1"/>
    </xf>
    <xf numFmtId="0" fontId="27" fillId="65" borderId="17" applyNumberFormat="0" applyAlignment="0" applyProtection="0">
      <alignment horizontal="left" vertical="center" indent="1"/>
    </xf>
    <xf numFmtId="0" fontId="27" fillId="65" borderId="21" applyNumberFormat="0" applyAlignment="0" applyProtection="0">
      <alignment horizontal="left" vertical="center" indent="1"/>
    </xf>
    <xf numFmtId="0" fontId="29" fillId="67" borderId="22" applyNumberFormat="0" applyAlignment="0" applyProtection="0"/>
    <xf numFmtId="166" fontId="40" fillId="68" borderId="17" applyNumberFormat="0" applyProtection="0">
      <alignment horizontal="right" vertical="center"/>
    </xf>
    <xf numFmtId="166" fontId="41" fillId="68" borderId="17" applyNumberFormat="0" applyProtection="0">
      <alignment horizontal="right" vertical="center"/>
    </xf>
    <xf numFmtId="166" fontId="28" fillId="0" borderId="15" applyNumberFormat="0" applyAlignment="0" applyProtection="0">
      <alignment horizontal="left" vertical="center" indent="1"/>
    </xf>
    <xf numFmtId="166" fontId="29" fillId="0" borderId="23" applyProtection="0">
      <alignment horizontal="right" vertical="center"/>
    </xf>
    <xf numFmtId="0" fontId="29" fillId="0" borderId="24" applyNumberFormat="0" applyProtection="0">
      <alignment horizontal="left" vertical="center"/>
    </xf>
    <xf numFmtId="0" fontId="27" fillId="69" borderId="17" applyNumberFormat="0" applyAlignment="0" applyProtection="0">
      <alignment horizontal="left" vertical="center" indent="1"/>
    </xf>
    <xf numFmtId="166" fontId="41" fillId="69" borderId="17" applyNumberFormat="0" applyProtection="0">
      <alignment horizontal="right" vertical="center"/>
    </xf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wrapText="1"/>
    </xf>
    <xf numFmtId="0" fontId="3" fillId="0" borderId="0" xfId="0" applyFont="1"/>
    <xf numFmtId="164" fontId="0" fillId="0" borderId="0" xfId="1" applyNumberFormat="1" applyFont="1"/>
    <xf numFmtId="10" fontId="0" fillId="0" borderId="0" xfId="2" applyNumberFormat="1" applyFont="1"/>
    <xf numFmtId="0" fontId="42" fillId="0" borderId="0" xfId="0" applyFont="1"/>
    <xf numFmtId="0" fontId="0" fillId="0" borderId="0" xfId="0" applyFill="1"/>
    <xf numFmtId="164" fontId="0" fillId="0" borderId="0" xfId="1" applyNumberFormat="1" applyFont="1" applyFill="1"/>
    <xf numFmtId="0" fontId="43" fillId="0" borderId="0" xfId="0" applyFont="1"/>
    <xf numFmtId="0" fontId="0" fillId="71" borderId="0" xfId="0" applyFill="1"/>
    <xf numFmtId="164" fontId="0" fillId="70" borderId="0" xfId="1" applyNumberFormat="1" applyFont="1" applyFill="1"/>
    <xf numFmtId="0" fontId="3" fillId="0" borderId="0" xfId="0" applyFont="1" applyAlignment="1">
      <alignment horizontal="right"/>
    </xf>
    <xf numFmtId="164" fontId="0" fillId="2" borderId="0" xfId="1" applyNumberFormat="1" applyFont="1" applyFill="1"/>
    <xf numFmtId="164" fontId="3" fillId="0" borderId="0" xfId="1" applyNumberFormat="1" applyFont="1" applyAlignment="1">
      <alignment horizontal="right"/>
    </xf>
    <xf numFmtId="164" fontId="0" fillId="2" borderId="0" xfId="0" applyNumberFormat="1" applyFill="1"/>
    <xf numFmtId="43" fontId="0" fillId="2" borderId="0" xfId="1" applyNumberFormat="1" applyFont="1" applyFill="1"/>
    <xf numFmtId="173" fontId="0" fillId="70" borderId="0" xfId="0" applyNumberFormat="1" applyFill="1"/>
  </cellXfs>
  <cellStyles count="129">
    <cellStyle name="Accent1" xfId="5" xr:uid="{00000000-0005-0000-0000-000000000000}"/>
    <cellStyle name="Accent1 - 20%" xfId="6" xr:uid="{00000000-0005-0000-0000-000001000000}"/>
    <cellStyle name="Accent1 - 40%" xfId="7" xr:uid="{00000000-0005-0000-0000-000002000000}"/>
    <cellStyle name="Accent1 - 60%" xfId="8" xr:uid="{00000000-0005-0000-0000-000003000000}"/>
    <cellStyle name="Accent2" xfId="9" xr:uid="{00000000-0005-0000-0000-000004000000}"/>
    <cellStyle name="Accent2 - 20%" xfId="10" xr:uid="{00000000-0005-0000-0000-000005000000}"/>
    <cellStyle name="Accent2 - 40%" xfId="11" xr:uid="{00000000-0005-0000-0000-000006000000}"/>
    <cellStyle name="Accent2 - 60%" xfId="12" xr:uid="{00000000-0005-0000-0000-000007000000}"/>
    <cellStyle name="Accent3" xfId="13" xr:uid="{00000000-0005-0000-0000-000008000000}"/>
    <cellStyle name="Accent3 - 20%" xfId="14" xr:uid="{00000000-0005-0000-0000-000009000000}"/>
    <cellStyle name="Accent3 - 40%" xfId="15" xr:uid="{00000000-0005-0000-0000-00000A000000}"/>
    <cellStyle name="Accent3 - 60%" xfId="16" xr:uid="{00000000-0005-0000-0000-00000B000000}"/>
    <cellStyle name="Accent4" xfId="17" xr:uid="{00000000-0005-0000-0000-00000C000000}"/>
    <cellStyle name="Accent4 - 20%" xfId="18" xr:uid="{00000000-0005-0000-0000-00000D000000}"/>
    <cellStyle name="Accent4 - 40%" xfId="19" xr:uid="{00000000-0005-0000-0000-00000E000000}"/>
    <cellStyle name="Accent4 - 60%" xfId="20" xr:uid="{00000000-0005-0000-0000-00000F000000}"/>
    <cellStyle name="Accent5" xfId="21" xr:uid="{00000000-0005-0000-0000-000010000000}"/>
    <cellStyle name="Accent5 - 20%" xfId="22" xr:uid="{00000000-0005-0000-0000-000011000000}"/>
    <cellStyle name="Accent5 - 40%" xfId="23" xr:uid="{00000000-0005-0000-0000-000012000000}"/>
    <cellStyle name="Accent5 - 60%" xfId="24" xr:uid="{00000000-0005-0000-0000-000013000000}"/>
    <cellStyle name="Accent6" xfId="25" xr:uid="{00000000-0005-0000-0000-000014000000}"/>
    <cellStyle name="Accent6 - 20%" xfId="26" xr:uid="{00000000-0005-0000-0000-000015000000}"/>
    <cellStyle name="Accent6 - 40%" xfId="27" xr:uid="{00000000-0005-0000-0000-000016000000}"/>
    <cellStyle name="Accent6 - 60%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mphasis 1" xfId="32" xr:uid="{00000000-0005-0000-0000-00001B000000}"/>
    <cellStyle name="Emphasis 2" xfId="33" xr:uid="{00000000-0005-0000-0000-00001C000000}"/>
    <cellStyle name="Emphasis 3" xfId="34" xr:uid="{00000000-0005-0000-0000-00001D000000}"/>
    <cellStyle name="Good" xfId="35" xr:uid="{00000000-0005-0000-0000-00001E000000}"/>
    <cellStyle name="Heading 1" xfId="36" xr:uid="{00000000-0005-0000-0000-00001F000000}"/>
    <cellStyle name="Heading 2" xfId="37" xr:uid="{00000000-0005-0000-0000-000020000000}"/>
    <cellStyle name="Heading 3" xfId="38" xr:uid="{00000000-0005-0000-0000-000021000000}"/>
    <cellStyle name="Heading 4" xfId="39" xr:uid="{00000000-0005-0000-0000-000022000000}"/>
    <cellStyle name="Input" xfId="40" xr:uid="{00000000-0005-0000-0000-000023000000}"/>
    <cellStyle name="Komma" xfId="1" builtinId="3"/>
    <cellStyle name="Komma 2" xfId="91" xr:uid="{00000000-0005-0000-0000-000025000000}"/>
    <cellStyle name="Komma 3" xfId="89" xr:uid="{00000000-0005-0000-0000-000026000000}"/>
    <cellStyle name="Linked Cell" xfId="41" xr:uid="{00000000-0005-0000-0000-000027000000}"/>
    <cellStyle name="Note" xfId="42" xr:uid="{00000000-0005-0000-0000-000028000000}"/>
    <cellStyle name="Output" xfId="43" xr:uid="{00000000-0005-0000-0000-000029000000}"/>
    <cellStyle name="Prozent" xfId="2" builtinId="5"/>
    <cellStyle name="Prozent 2" xfId="128" xr:uid="{00000000-0005-0000-0000-00002B000000}"/>
    <cellStyle name="Prozent 3" xfId="4" xr:uid="{00000000-0005-0000-0000-00002C000000}"/>
    <cellStyle name="SAPBEXaggData" xfId="44" xr:uid="{00000000-0005-0000-0000-00002D000000}"/>
    <cellStyle name="SAPBEXaggDataEmph" xfId="45" xr:uid="{00000000-0005-0000-0000-00002E000000}"/>
    <cellStyle name="SAPBEXaggItem" xfId="46" xr:uid="{00000000-0005-0000-0000-00002F000000}"/>
    <cellStyle name="SAPBEXaggItemX" xfId="47" xr:uid="{00000000-0005-0000-0000-000030000000}"/>
    <cellStyle name="SAPBEXchaText" xfId="48" xr:uid="{00000000-0005-0000-0000-000031000000}"/>
    <cellStyle name="SAPBEXexcBad7" xfId="49" xr:uid="{00000000-0005-0000-0000-000032000000}"/>
    <cellStyle name="SAPBEXexcBad8" xfId="50" xr:uid="{00000000-0005-0000-0000-000033000000}"/>
    <cellStyle name="SAPBEXexcBad9" xfId="51" xr:uid="{00000000-0005-0000-0000-000034000000}"/>
    <cellStyle name="SAPBEXexcCritical4" xfId="52" xr:uid="{00000000-0005-0000-0000-000035000000}"/>
    <cellStyle name="SAPBEXexcCritical5" xfId="53" xr:uid="{00000000-0005-0000-0000-000036000000}"/>
    <cellStyle name="SAPBEXexcCritical6" xfId="54" xr:uid="{00000000-0005-0000-0000-000037000000}"/>
    <cellStyle name="SAPBEXexcGood1" xfId="55" xr:uid="{00000000-0005-0000-0000-000038000000}"/>
    <cellStyle name="SAPBEXexcGood2" xfId="56" xr:uid="{00000000-0005-0000-0000-000039000000}"/>
    <cellStyle name="SAPBEXexcGood3" xfId="57" xr:uid="{00000000-0005-0000-0000-00003A000000}"/>
    <cellStyle name="SAPBEXfilterDrill" xfId="58" xr:uid="{00000000-0005-0000-0000-00003B000000}"/>
    <cellStyle name="SAPBEXfilterItem" xfId="59" xr:uid="{00000000-0005-0000-0000-00003C000000}"/>
    <cellStyle name="SAPBEXfilterText" xfId="60" xr:uid="{00000000-0005-0000-0000-00003D000000}"/>
    <cellStyle name="SAPBEXformats" xfId="61" xr:uid="{00000000-0005-0000-0000-00003E000000}"/>
    <cellStyle name="SAPBEXheaderItem" xfId="62" xr:uid="{00000000-0005-0000-0000-00003F000000}"/>
    <cellStyle name="SAPBEXheaderText" xfId="63" xr:uid="{00000000-0005-0000-0000-000040000000}"/>
    <cellStyle name="SAPBEXHLevel0" xfId="64" xr:uid="{00000000-0005-0000-0000-000041000000}"/>
    <cellStyle name="SAPBEXHLevel0X" xfId="65" xr:uid="{00000000-0005-0000-0000-000042000000}"/>
    <cellStyle name="SAPBEXHLevel1" xfId="66" xr:uid="{00000000-0005-0000-0000-000043000000}"/>
    <cellStyle name="SAPBEXHLevel1X" xfId="67" xr:uid="{00000000-0005-0000-0000-000044000000}"/>
    <cellStyle name="SAPBEXHLevel2" xfId="68" xr:uid="{00000000-0005-0000-0000-000045000000}"/>
    <cellStyle name="SAPBEXHLevel2X" xfId="69" xr:uid="{00000000-0005-0000-0000-000046000000}"/>
    <cellStyle name="SAPBEXHLevel3" xfId="70" xr:uid="{00000000-0005-0000-0000-000047000000}"/>
    <cellStyle name="SAPBEXHLevel3X" xfId="71" xr:uid="{00000000-0005-0000-0000-000048000000}"/>
    <cellStyle name="SAPBEXinputData" xfId="72" xr:uid="{00000000-0005-0000-0000-000049000000}"/>
    <cellStyle name="SAPBEXItemHeader" xfId="73" xr:uid="{00000000-0005-0000-0000-00004A000000}"/>
    <cellStyle name="SAPBEXresData" xfId="74" xr:uid="{00000000-0005-0000-0000-00004B000000}"/>
    <cellStyle name="SAPBEXresDataEmph" xfId="75" xr:uid="{00000000-0005-0000-0000-00004C000000}"/>
    <cellStyle name="SAPBEXresItem" xfId="76" xr:uid="{00000000-0005-0000-0000-00004D000000}"/>
    <cellStyle name="SAPBEXresItemX" xfId="77" xr:uid="{00000000-0005-0000-0000-00004E000000}"/>
    <cellStyle name="SAPBEXstdData" xfId="78" xr:uid="{00000000-0005-0000-0000-00004F000000}"/>
    <cellStyle name="SAPBEXstdDataEmph" xfId="79" xr:uid="{00000000-0005-0000-0000-000050000000}"/>
    <cellStyle name="SAPBEXstdItem" xfId="80" xr:uid="{00000000-0005-0000-0000-000051000000}"/>
    <cellStyle name="SAPBEXstdItemX" xfId="81" xr:uid="{00000000-0005-0000-0000-000052000000}"/>
    <cellStyle name="SAPBEXtitle" xfId="82" xr:uid="{00000000-0005-0000-0000-000053000000}"/>
    <cellStyle name="SAPBEXunassignedItem" xfId="83" xr:uid="{00000000-0005-0000-0000-000054000000}"/>
    <cellStyle name="SAPBEXundefined" xfId="84" xr:uid="{00000000-0005-0000-0000-000055000000}"/>
    <cellStyle name="SAPBorder" xfId="92" xr:uid="{00000000-0005-0000-0000-000056000000}"/>
    <cellStyle name="SAPDataCell" xfId="93" xr:uid="{00000000-0005-0000-0000-000057000000}"/>
    <cellStyle name="SAPDataTotalCell" xfId="94" xr:uid="{00000000-0005-0000-0000-000058000000}"/>
    <cellStyle name="SAPDimensionCell" xfId="95" xr:uid="{00000000-0005-0000-0000-000059000000}"/>
    <cellStyle name="SAPEditableDataCell" xfId="96" xr:uid="{00000000-0005-0000-0000-00005A000000}"/>
    <cellStyle name="SAPEditableDataTotalCell" xfId="97" xr:uid="{00000000-0005-0000-0000-00005B000000}"/>
    <cellStyle name="SAPEmphasized" xfId="98" xr:uid="{00000000-0005-0000-0000-00005C000000}"/>
    <cellStyle name="SAPExceptionLevel1" xfId="99" xr:uid="{00000000-0005-0000-0000-00005D000000}"/>
    <cellStyle name="SAPExceptionLevel2" xfId="100" xr:uid="{00000000-0005-0000-0000-00005E000000}"/>
    <cellStyle name="SAPExceptionLevel3" xfId="101" xr:uid="{00000000-0005-0000-0000-00005F000000}"/>
    <cellStyle name="SAPExceptionLevel4" xfId="102" xr:uid="{00000000-0005-0000-0000-000060000000}"/>
    <cellStyle name="SAPExceptionLevel5" xfId="103" xr:uid="{00000000-0005-0000-0000-000061000000}"/>
    <cellStyle name="SAPExceptionLevel6" xfId="104" xr:uid="{00000000-0005-0000-0000-000062000000}"/>
    <cellStyle name="SAPExceptionLevel7" xfId="105" xr:uid="{00000000-0005-0000-0000-000063000000}"/>
    <cellStyle name="SAPExceptionLevel8" xfId="106" xr:uid="{00000000-0005-0000-0000-000064000000}"/>
    <cellStyle name="SAPExceptionLevel9" xfId="107" xr:uid="{00000000-0005-0000-0000-000065000000}"/>
    <cellStyle name="SAPGroupingFillCell" xfId="108" xr:uid="{00000000-0005-0000-0000-000066000000}"/>
    <cellStyle name="SAPHierarchyCell_C1.1" xfId="109" xr:uid="{00000000-0005-0000-0000-000067000000}"/>
    <cellStyle name="SAPHierarchyCell0" xfId="110" xr:uid="{00000000-0005-0000-0000-000068000000}"/>
    <cellStyle name="SAPHierarchyCell0 2" xfId="111" xr:uid="{00000000-0005-0000-0000-000069000000}"/>
    <cellStyle name="SAPHierarchyCell1" xfId="112" xr:uid="{00000000-0005-0000-0000-00006A000000}"/>
    <cellStyle name="SAPHierarchyCell1 2" xfId="113" xr:uid="{00000000-0005-0000-0000-00006B000000}"/>
    <cellStyle name="SAPHierarchyCell2" xfId="114" xr:uid="{00000000-0005-0000-0000-00006C000000}"/>
    <cellStyle name="SAPHierarchyCell2 2" xfId="115" xr:uid="{00000000-0005-0000-0000-00006D000000}"/>
    <cellStyle name="SAPHierarchyCell3" xfId="116" xr:uid="{00000000-0005-0000-0000-00006E000000}"/>
    <cellStyle name="SAPHierarchyCell3 2" xfId="117" xr:uid="{00000000-0005-0000-0000-00006F000000}"/>
    <cellStyle name="SAPHierarchyCell4" xfId="118" xr:uid="{00000000-0005-0000-0000-000070000000}"/>
    <cellStyle name="SAPHierarchyCell4 2" xfId="119" xr:uid="{00000000-0005-0000-0000-000071000000}"/>
    <cellStyle name="SAPHierarchyCell9_R1.1" xfId="120" xr:uid="{00000000-0005-0000-0000-000072000000}"/>
    <cellStyle name="SAPLockedDataCell" xfId="121" xr:uid="{00000000-0005-0000-0000-000073000000}"/>
    <cellStyle name="SAPLockedDataTotalCell" xfId="122" xr:uid="{00000000-0005-0000-0000-000074000000}"/>
    <cellStyle name="SAPMemberCell" xfId="123" xr:uid="{00000000-0005-0000-0000-000075000000}"/>
    <cellStyle name="SAPMemberCellX" xfId="124" xr:uid="{00000000-0005-0000-0000-000076000000}"/>
    <cellStyle name="SAPMemberTotalCell" xfId="125" xr:uid="{00000000-0005-0000-0000-000077000000}"/>
    <cellStyle name="SAPReadonlyDataCell" xfId="126" xr:uid="{00000000-0005-0000-0000-000078000000}"/>
    <cellStyle name="SAPReadonlyDataTotalCell" xfId="127" xr:uid="{00000000-0005-0000-0000-000079000000}"/>
    <cellStyle name="Sheet Title" xfId="85" xr:uid="{00000000-0005-0000-0000-00007A000000}"/>
    <cellStyle name="Standard" xfId="0" builtinId="0"/>
    <cellStyle name="Standard 2" xfId="86" xr:uid="{00000000-0005-0000-0000-00007C000000}"/>
    <cellStyle name="Standard 3" xfId="90" xr:uid="{00000000-0005-0000-0000-00007D000000}"/>
    <cellStyle name="Standard 4" xfId="3" xr:uid="{00000000-0005-0000-0000-00007E000000}"/>
    <cellStyle name="Total" xfId="87" xr:uid="{00000000-0005-0000-0000-00007F000000}"/>
    <cellStyle name="Warning Text" xfId="88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46"/>
  <sheetViews>
    <sheetView showGridLines="0" tabSelected="1" topLeftCell="A16" zoomScale="80" zoomScaleNormal="80" workbookViewId="0">
      <selection activeCell="H29" sqref="H29"/>
    </sheetView>
  </sheetViews>
  <sheetFormatPr baseColWidth="10" defaultRowHeight="14.6" x14ac:dyDescent="0.4"/>
  <cols>
    <col min="1" max="1" width="19.3828125" bestFit="1" customWidth="1"/>
    <col min="2" max="2" width="31.07421875" customWidth="1"/>
    <col min="3" max="3" width="30.61328125" customWidth="1"/>
    <col min="4" max="4" width="12.3046875" bestFit="1" customWidth="1"/>
  </cols>
  <sheetData>
    <row r="2" spans="1:9" ht="18.45" x14ac:dyDescent="0.5">
      <c r="A2" s="8" t="s">
        <v>72</v>
      </c>
    </row>
    <row r="3" spans="1:9" ht="33" customHeight="1" x14ac:dyDescent="0.4">
      <c r="A3" s="1" t="s">
        <v>23</v>
      </c>
      <c r="B3" s="1"/>
      <c r="C3" s="1"/>
    </row>
    <row r="5" spans="1:9" x14ac:dyDescent="0.4">
      <c r="B5" s="5" t="s">
        <v>24</v>
      </c>
      <c r="F5" s="6"/>
    </row>
    <row r="6" spans="1:9" x14ac:dyDescent="0.4">
      <c r="B6" t="s">
        <v>25</v>
      </c>
      <c r="C6">
        <v>50000</v>
      </c>
      <c r="G6" s="6"/>
      <c r="H6" s="6"/>
    </row>
    <row r="7" spans="1:9" x14ac:dyDescent="0.4">
      <c r="B7" t="s">
        <v>26</v>
      </c>
      <c r="C7">
        <v>5000</v>
      </c>
    </row>
    <row r="8" spans="1:9" x14ac:dyDescent="0.4">
      <c r="G8" s="6"/>
    </row>
    <row r="9" spans="1:9" x14ac:dyDescent="0.4">
      <c r="B9" s="5" t="s">
        <v>27</v>
      </c>
      <c r="G9" s="6"/>
      <c r="H9" s="6"/>
      <c r="I9" s="6"/>
    </row>
    <row r="10" spans="1:9" x14ac:dyDescent="0.4">
      <c r="B10" t="s">
        <v>28</v>
      </c>
      <c r="C10">
        <v>21000</v>
      </c>
    </row>
    <row r="11" spans="1:9" x14ac:dyDescent="0.4">
      <c r="B11" t="s">
        <v>29</v>
      </c>
      <c r="C11">
        <v>72000</v>
      </c>
      <c r="G11" s="6"/>
    </row>
    <row r="12" spans="1:9" x14ac:dyDescent="0.4">
      <c r="B12" t="s">
        <v>30</v>
      </c>
      <c r="C12">
        <v>51000</v>
      </c>
    </row>
    <row r="14" spans="1:9" x14ac:dyDescent="0.4">
      <c r="B14" t="s">
        <v>31</v>
      </c>
      <c r="C14">
        <v>0.09</v>
      </c>
      <c r="G14" s="6"/>
    </row>
    <row r="15" spans="1:9" x14ac:dyDescent="0.4">
      <c r="B15" t="s">
        <v>32</v>
      </c>
      <c r="C15">
        <v>0.8</v>
      </c>
    </row>
    <row r="16" spans="1:9" x14ac:dyDescent="0.4">
      <c r="B16" t="s">
        <v>30</v>
      </c>
      <c r="C16">
        <v>0.6</v>
      </c>
    </row>
    <row r="18" spans="1:38" x14ac:dyDescent="0.4">
      <c r="B18" t="s">
        <v>90</v>
      </c>
      <c r="C18">
        <v>0.4</v>
      </c>
    </row>
    <row r="19" spans="1:38" x14ac:dyDescent="0.4">
      <c r="B19" t="s">
        <v>91</v>
      </c>
      <c r="C19">
        <v>0.82</v>
      </c>
    </row>
    <row r="20" spans="1:38" x14ac:dyDescent="0.4">
      <c r="B20" t="s">
        <v>92</v>
      </c>
      <c r="C20">
        <v>0.6</v>
      </c>
    </row>
    <row r="22" spans="1:38" x14ac:dyDescent="0.4">
      <c r="A22" s="1" t="s">
        <v>33</v>
      </c>
      <c r="B22" s="1"/>
      <c r="C22" s="1"/>
    </row>
    <row r="24" spans="1:38" x14ac:dyDescent="0.4">
      <c r="B24" t="s">
        <v>34</v>
      </c>
      <c r="C24">
        <v>200000</v>
      </c>
    </row>
    <row r="25" spans="1:38" x14ac:dyDescent="0.4">
      <c r="B25" t="s">
        <v>35</v>
      </c>
      <c r="C25">
        <v>0.999</v>
      </c>
    </row>
    <row r="27" spans="1:38" x14ac:dyDescent="0.4">
      <c r="A27" s="1" t="s">
        <v>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9" spans="1:38" x14ac:dyDescent="0.4">
      <c r="B29" t="s">
        <v>93</v>
      </c>
      <c r="C29" s="16">
        <f ca="1">_xll.FLOsimula_PERT(C18,C19,C20,"MA_Parameter")</f>
        <v>0.60333333333333339</v>
      </c>
    </row>
    <row r="30" spans="1:38" x14ac:dyDescent="0.4">
      <c r="B30" t="s">
        <v>50</v>
      </c>
      <c r="D30" s="11" t="s">
        <v>36</v>
      </c>
      <c r="E30" s="11" t="s">
        <v>37</v>
      </c>
      <c r="F30" s="11" t="s">
        <v>38</v>
      </c>
      <c r="G30" s="11" t="s">
        <v>39</v>
      </c>
      <c r="H30" s="11" t="s">
        <v>40</v>
      </c>
      <c r="I30" s="11" t="s">
        <v>41</v>
      </c>
      <c r="J30" s="11" t="s">
        <v>42</v>
      </c>
      <c r="K30" s="11" t="s">
        <v>43</v>
      </c>
      <c r="L30" s="11" t="s">
        <v>44</v>
      </c>
      <c r="M30" s="11" t="s">
        <v>45</v>
      </c>
      <c r="N30" s="11" t="s">
        <v>46</v>
      </c>
      <c r="O30" s="11" t="s">
        <v>47</v>
      </c>
      <c r="P30" s="11" t="s">
        <v>48</v>
      </c>
      <c r="Q30" s="11" t="s">
        <v>49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4">
      <c r="B31" t="s">
        <v>51</v>
      </c>
      <c r="D31" s="11" t="s">
        <v>52</v>
      </c>
      <c r="E31" s="11" t="s">
        <v>53</v>
      </c>
      <c r="F31" s="11" t="s">
        <v>54</v>
      </c>
      <c r="G31" s="11" t="s">
        <v>55</v>
      </c>
      <c r="H31" s="11" t="s">
        <v>56</v>
      </c>
      <c r="I31" s="11" t="s">
        <v>57</v>
      </c>
      <c r="J31" s="11" t="s">
        <v>58</v>
      </c>
      <c r="K31" s="11" t="s">
        <v>59</v>
      </c>
      <c r="L31" s="11" t="s">
        <v>60</v>
      </c>
      <c r="M31" s="11" t="s">
        <v>61</v>
      </c>
      <c r="N31" s="11" t="s">
        <v>62</v>
      </c>
      <c r="O31" s="11" t="s">
        <v>63</v>
      </c>
      <c r="P31" s="11" t="s">
        <v>64</v>
      </c>
      <c r="Q31" s="11" t="s">
        <v>65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4">
      <c r="B32" t="s">
        <v>66</v>
      </c>
      <c r="D32" s="11" t="s">
        <v>0</v>
      </c>
      <c r="E32" s="11" t="s">
        <v>1</v>
      </c>
      <c r="F32" s="11" t="s">
        <v>2</v>
      </c>
      <c r="G32" s="11" t="s">
        <v>3</v>
      </c>
      <c r="H32" s="11" t="s">
        <v>4</v>
      </c>
      <c r="I32" s="11" t="s">
        <v>5</v>
      </c>
      <c r="J32" s="11" t="s">
        <v>6</v>
      </c>
      <c r="K32" s="11" t="s">
        <v>7</v>
      </c>
      <c r="L32" s="11" t="s">
        <v>8</v>
      </c>
      <c r="M32" s="11" t="s">
        <v>9</v>
      </c>
      <c r="N32" s="11" t="s">
        <v>10</v>
      </c>
      <c r="O32" s="11" t="s">
        <v>11</v>
      </c>
      <c r="P32" s="11" t="s">
        <v>12</v>
      </c>
      <c r="Q32" s="11" t="s">
        <v>13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2:38" x14ac:dyDescent="0.4">
      <c r="B33" t="s">
        <v>74</v>
      </c>
      <c r="D33" s="10">
        <f ca="1">_xll.FLOsimula_Normal($C$6,$C$7,"r_3112")</f>
        <v>50000</v>
      </c>
      <c r="E33" s="10">
        <f ca="1">_xll.FLOsimula_Normal($C$6,$C$7,"r_3113")</f>
        <v>50000</v>
      </c>
      <c r="F33" s="10">
        <f ca="1">_xll.FLOsimula_Normal($C$6,$C$7,"r_3114")</f>
        <v>50000</v>
      </c>
      <c r="G33" s="10">
        <f ca="1">_xll.FLOsimula_Normal($C$6,$C$7,"r_3115")</f>
        <v>50000</v>
      </c>
      <c r="H33" s="10">
        <f ca="1">_xll.FLOsimula_Normal($C$6,$C$7,"r_3116")</f>
        <v>50000</v>
      </c>
      <c r="I33" s="10">
        <f ca="1">_xll.FLOsimula_Normal($C$6,$C$7,"r_3117")</f>
        <v>50000</v>
      </c>
      <c r="J33" s="10">
        <f ca="1">_xll.FLOsimula_Normal($C$6,$C$7,"r_3118")</f>
        <v>50000</v>
      </c>
      <c r="K33" s="10">
        <f ca="1">_xll.FLOsimula_Normal($C$6,$C$7,"r_3119")</f>
        <v>50000</v>
      </c>
      <c r="L33" s="10">
        <f ca="1">_xll.FLOsimula_Normal($C$6,$C$7,"r_3120")</f>
        <v>50000</v>
      </c>
      <c r="M33" s="10">
        <f ca="1">_xll.FLOsimula_Normal($C$6,$C$7,"r_3121")</f>
        <v>50000</v>
      </c>
      <c r="N33" s="10">
        <f ca="1">_xll.FLOsimula_Normal($C$6,$C$7,"r_3122")</f>
        <v>50000</v>
      </c>
      <c r="O33" s="10">
        <f ca="1">_xll.FLOsimula_Normal($C$6,$C$7,"r_3123")</f>
        <v>50000</v>
      </c>
      <c r="P33" s="10">
        <f ca="1">_xll.FLOsimula_Normal($C$6,$C$7,"r_3124")</f>
        <v>50000</v>
      </c>
      <c r="Q33" s="10">
        <f ca="1">_xll.FLOsimula_Normal($C$6,$C$7,"r_3125")</f>
        <v>50000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2:38" x14ac:dyDescent="0.4">
      <c r="B34" t="s">
        <v>75</v>
      </c>
      <c r="D34" s="13" t="s">
        <v>76</v>
      </c>
      <c r="E34" s="13" t="s">
        <v>77</v>
      </c>
      <c r="F34" s="13" t="s">
        <v>78</v>
      </c>
      <c r="G34" s="13" t="s">
        <v>79</v>
      </c>
      <c r="H34" s="13" t="s">
        <v>80</v>
      </c>
      <c r="I34" s="13" t="s">
        <v>81</v>
      </c>
      <c r="J34" s="13" t="s">
        <v>82</v>
      </c>
      <c r="K34" s="13" t="s">
        <v>83</v>
      </c>
      <c r="L34" s="13" t="s">
        <v>84</v>
      </c>
      <c r="M34" s="13" t="s">
        <v>85</v>
      </c>
      <c r="N34" s="13" t="s">
        <v>86</v>
      </c>
      <c r="O34" s="13" t="s">
        <v>87</v>
      </c>
      <c r="P34" s="13" t="s">
        <v>88</v>
      </c>
      <c r="Q34" s="13" t="s">
        <v>89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2:38" x14ac:dyDescent="0.4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2:38" x14ac:dyDescent="0.4">
      <c r="C36" t="s">
        <v>71</v>
      </c>
      <c r="D36" s="12">
        <f ca="1">C24+D33+_xll.FLOsimula_output("S_3112")</f>
        <v>250000</v>
      </c>
      <c r="E36" s="12">
        <f ca="1">$C$24+E33+$C$29*D33+_xll.FLOsimula_output("S_3113")</f>
        <v>280166.66666666669</v>
      </c>
      <c r="F36" s="12">
        <f ca="1">$C$24+F33+$C$29*E33+_xll.FLOsimula_output("S_3114")</f>
        <v>280166.66666666669</v>
      </c>
      <c r="G36" s="12">
        <f ca="1">$C$24+G33+$C$29*F33+_xll.FLOsimula_output("S_3115")</f>
        <v>280166.66666666669</v>
      </c>
      <c r="H36" s="12">
        <f ca="1">$C$24+H33+$C$29*G33+_xll.FLOsimula_output("S_3116")</f>
        <v>280166.66666666669</v>
      </c>
      <c r="I36" s="12">
        <f ca="1">$C$24+I33+$C$29*H33+_xll.FLOsimula_output("S_3117")</f>
        <v>280166.66666666669</v>
      </c>
      <c r="J36" s="12">
        <f ca="1">$C$24+J33+$C$29*I33+_xll.FLOsimula_output("S_3118")</f>
        <v>280166.66666666669</v>
      </c>
      <c r="K36" s="12">
        <f ca="1">$C$24+K33+$C$29*J33+_xll.FLOsimula_output("S_3119")</f>
        <v>280166.66666666669</v>
      </c>
      <c r="L36" s="12">
        <f ca="1">$C$24+L33+$C$29*K33+_xll.FLOsimula_output("S_3120")</f>
        <v>280166.66666666669</v>
      </c>
      <c r="M36" s="12">
        <f ca="1">$C$24+M33+$C$29*L33+_xll.FLOsimula_output("S_3121")</f>
        <v>280166.66666666669</v>
      </c>
      <c r="N36" s="12">
        <f ca="1">$C$24+N33+$C$29*M33+_xll.FLOsimula_output("S_3122")</f>
        <v>280166.66666666669</v>
      </c>
      <c r="O36" s="12">
        <f ca="1">$C$24+O33+$C$29*N33+_xll.FLOsimula_output("S_3123")</f>
        <v>280166.66666666669</v>
      </c>
      <c r="P36" s="12">
        <f ca="1">$C$24+P33+$C$29*O33+_xll.FLOsimula_output("S_3124")</f>
        <v>280166.66666666669</v>
      </c>
      <c r="Q36" s="12">
        <f ca="1">$C$24+Q33+$C$29*P33+_xll.FLOsimula_output("S_3125")</f>
        <v>280166.66666666669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38" x14ac:dyDescent="0.4">
      <c r="C37" t="s">
        <v>67</v>
      </c>
      <c r="D37" s="10">
        <f ca="1">_xll.FLOsimula_PERT($C$10,$C$11,$C$12,"c_3112")</f>
        <v>49500</v>
      </c>
      <c r="E37" s="10">
        <f ca="1">_xll.FLOsimula_PERT($C$10,$C$11,$C$12,"c_3113")</f>
        <v>49500</v>
      </c>
      <c r="F37" s="10">
        <f ca="1">_xll.FLOsimula_PERT($C$10,$C$11,$C$12,"c_3114")</f>
        <v>49500</v>
      </c>
      <c r="G37" s="10">
        <f ca="1">_xll.FLOsimula_PERT($C$10,$C$11,$C$12,"c_3115")</f>
        <v>49500</v>
      </c>
      <c r="H37" s="10">
        <f ca="1">_xll.FLOsimula_PERT($C$10,$C$11,$C$12,"c_3116")</f>
        <v>49500</v>
      </c>
      <c r="I37" s="10">
        <f ca="1">_xll.FLOsimula_PERT($C$10,$C$11,$C$12,"c_3117")</f>
        <v>49500</v>
      </c>
      <c r="J37" s="10">
        <f ca="1">_xll.FLOsimula_PERT($C$10,$C$11,$C$12,"c_3118")</f>
        <v>49500</v>
      </c>
      <c r="K37" s="10">
        <f ca="1">_xll.FLOsimula_PERT($C$10,$C$11,$C$12,"c_3119")</f>
        <v>49500</v>
      </c>
      <c r="L37" s="10">
        <f ca="1">_xll.FLOsimula_PERT($C$10,$C$11,$C$12,"c_3120")</f>
        <v>49500</v>
      </c>
      <c r="M37" s="10">
        <f ca="1">_xll.FLOsimula_PERT($C$10,$C$11,$C$12,"c_3121")</f>
        <v>49500</v>
      </c>
      <c r="N37" s="10">
        <f ca="1">_xll.FLOsimula_PERT($C$10,$C$11,$C$12,"c_3122")</f>
        <v>49500</v>
      </c>
      <c r="O37" s="10">
        <f ca="1">_xll.FLOsimula_PERT($C$10,$C$11,$C$12,"c_3123")</f>
        <v>49500</v>
      </c>
      <c r="P37" s="10">
        <f ca="1">_xll.FLOsimula_PERT($C$10,$C$11,$C$12,"c_3124")</f>
        <v>49500</v>
      </c>
      <c r="Q37" s="10">
        <f ca="1">_xll.FLOsimula_PERT($C$10,$C$11,$C$12,"c_3125")</f>
        <v>49500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2:38" x14ac:dyDescent="0.4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2:38" x14ac:dyDescent="0.4">
      <c r="C39" t="s">
        <v>68</v>
      </c>
      <c r="D39" s="14">
        <f ca="1">D36-D37+_xll.FLOsimula_output("e_3112")</f>
        <v>200500</v>
      </c>
      <c r="E39" s="14">
        <f ca="1">E36-E37+_xll.FLOsimula_output("e_3113")</f>
        <v>230666.66666666669</v>
      </c>
      <c r="F39" s="14">
        <f ca="1">F36-F37+_xll.FLOsimula_output("e_3114")</f>
        <v>230666.66666666669</v>
      </c>
      <c r="G39" s="14">
        <f ca="1">G36-G37+_xll.FLOsimula_output("e_3115")</f>
        <v>230666.66666666669</v>
      </c>
      <c r="H39" s="14">
        <f ca="1">H36-H37+_xll.FLOsimula_output("e_3116")</f>
        <v>230666.66666666669</v>
      </c>
      <c r="I39" s="14">
        <f ca="1">I36-I37+_xll.FLOsimula_output("e_3117")</f>
        <v>230666.66666666669</v>
      </c>
      <c r="J39" s="14">
        <f ca="1">J36-J37+_xll.FLOsimula_output("e_3118")</f>
        <v>230666.66666666669</v>
      </c>
      <c r="K39" s="14">
        <f ca="1">K36-K37+_xll.FLOsimula_output("e_3119")</f>
        <v>230666.66666666669</v>
      </c>
      <c r="L39" s="14">
        <f ca="1">L36-L37+_xll.FLOsimula_output("e_3120")</f>
        <v>230666.66666666669</v>
      </c>
      <c r="M39" s="14">
        <f ca="1">M36-M37+_xll.FLOsimula_output("e_3121")</f>
        <v>230666.66666666669</v>
      </c>
      <c r="N39" s="14">
        <f ca="1">N36-N37+_xll.FLOsimula_output("e_3122")</f>
        <v>230666.66666666669</v>
      </c>
      <c r="O39" s="14">
        <f ca="1">O36-O37+_xll.FLOsimula_output("e_3123")</f>
        <v>230666.66666666669</v>
      </c>
      <c r="P39" s="14">
        <f ca="1">P36-P37+_xll.FLOsimula_output("e_3124")</f>
        <v>230666.66666666669</v>
      </c>
      <c r="Q39" s="14">
        <f ca="1">Q36-Q37+_xll.FLOsimula_output("e_3125")</f>
        <v>230666.66666666669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1" spans="2:38" x14ac:dyDescent="0.4">
      <c r="C41" t="s">
        <v>69</v>
      </c>
      <c r="D41" s="9">
        <f ca="1">_xll.FLOsimula_correlacion("r_3112","c_3112",$C$25)</f>
        <v>0.999</v>
      </c>
      <c r="E41" s="9">
        <f ca="1">_xll.FLOsimula_correlacion("r_3113","c_3113",$C$25)</f>
        <v>0.999</v>
      </c>
      <c r="F41" s="9">
        <f ca="1">_xll.FLOsimula_correlacion("r_3114","c_3114",$C$25)</f>
        <v>0.999</v>
      </c>
      <c r="G41" s="9">
        <f ca="1">_xll.FLOsimula_correlacion("r_3115","c_3115",$C$25)</f>
        <v>0.999</v>
      </c>
      <c r="H41" s="9">
        <f ca="1">_xll.FLOsimula_correlacion("r_3116","c_3116",$C$25)</f>
        <v>0.999</v>
      </c>
      <c r="I41" s="9">
        <f ca="1">_xll.FLOsimula_correlacion("r_3117","c_3117",$C$25)</f>
        <v>0.999</v>
      </c>
      <c r="J41" s="9">
        <f ca="1">_xll.FLOsimula_correlacion("r_3118","c_3118",$C$25)</f>
        <v>0.999</v>
      </c>
      <c r="K41" s="9">
        <f ca="1">_xll.FLOsimula_correlacion("r_3119","c_3119",$C$25)</f>
        <v>0.999</v>
      </c>
      <c r="L41" s="9">
        <f ca="1">_xll.FLOsimula_correlacion("r_3120","c_3120",$C$25)</f>
        <v>0.999</v>
      </c>
      <c r="M41" s="9">
        <f ca="1">_xll.FLOsimula_correlacion("r_3121","c_3121",$C$25)</f>
        <v>0.999</v>
      </c>
      <c r="N41" s="9">
        <f ca="1">_xll.FLOsimula_correlacion("r_3122","c_3122",$C$25)</f>
        <v>0.999</v>
      </c>
      <c r="O41" s="9">
        <f ca="1">_xll.FLOsimula_correlacion("r_3123","c_3123",$C$25)</f>
        <v>0.999</v>
      </c>
      <c r="P41" s="9">
        <f ca="1">_xll.FLOsimula_correlacion("r_3124","c_3124",$C$25)</f>
        <v>0.999</v>
      </c>
      <c r="Q41" s="9">
        <f ca="1">_xll.FLOsimula_correlacion("r_3125","c_3125",$C$25)</f>
        <v>0.999</v>
      </c>
    </row>
    <row r="44" spans="2:38" x14ac:dyDescent="0.4">
      <c r="C44" t="s">
        <v>70</v>
      </c>
      <c r="D44" s="15">
        <f ca="1">SUM(D39:Q39)-COUNT(D39:Q39)*C24+_xll.FLOsimula_output("Earnings")</f>
        <v>399166.66666666651</v>
      </c>
    </row>
    <row r="46" spans="2:38" x14ac:dyDescent="0.4">
      <c r="D46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8"/>
  <sheetViews>
    <sheetView showGridLines="0" showRowColHeaders="0" workbookViewId="0">
      <selection activeCell="G18" sqref="G18"/>
    </sheetView>
  </sheetViews>
  <sheetFormatPr baseColWidth="10" defaultRowHeight="14.6" x14ac:dyDescent="0.4"/>
  <cols>
    <col min="5" max="5" width="30.3046875" bestFit="1" customWidth="1"/>
  </cols>
  <sheetData>
    <row r="2" spans="1:7" x14ac:dyDescent="0.4">
      <c r="E2" t="s">
        <v>21</v>
      </c>
      <c r="F2" s="3">
        <v>38000</v>
      </c>
    </row>
    <row r="3" spans="1:7" x14ac:dyDescent="0.4">
      <c r="E3" t="s">
        <v>22</v>
      </c>
      <c r="F3" s="3">
        <v>61000</v>
      </c>
    </row>
    <row r="4" spans="1:7" x14ac:dyDescent="0.4">
      <c r="D4" t="s">
        <v>15</v>
      </c>
    </row>
    <row r="5" spans="1:7" x14ac:dyDescent="0.4">
      <c r="D5" t="s">
        <v>18</v>
      </c>
      <c r="E5" t="s">
        <v>19</v>
      </c>
    </row>
    <row r="6" spans="1:7" x14ac:dyDescent="0.4">
      <c r="A6" t="s">
        <v>16</v>
      </c>
      <c r="D6" s="3">
        <f>F3</f>
        <v>61000</v>
      </c>
      <c r="E6" s="3">
        <f>F3</f>
        <v>61000</v>
      </c>
      <c r="F6" s="3"/>
      <c r="G6" s="3">
        <f>280000+D6+$A$7*E6</f>
        <v>370280</v>
      </c>
    </row>
    <row r="7" spans="1:7" x14ac:dyDescent="0.4">
      <c r="A7">
        <v>0.48</v>
      </c>
      <c r="D7" s="3">
        <f>F3</f>
        <v>61000</v>
      </c>
      <c r="E7" s="3">
        <f>F2</f>
        <v>38000</v>
      </c>
      <c r="F7" s="3"/>
      <c r="G7" s="3">
        <f>280000+D7+$A$7*E7</f>
        <v>359240</v>
      </c>
    </row>
    <row r="8" spans="1:7" x14ac:dyDescent="0.4">
      <c r="D8" s="3">
        <f>F2</f>
        <v>38000</v>
      </c>
      <c r="E8" s="3">
        <f>F3</f>
        <v>61000</v>
      </c>
      <c r="F8" s="3"/>
      <c r="G8" s="3">
        <f>280000+D8+$A$7*E8</f>
        <v>347280</v>
      </c>
    </row>
    <row r="9" spans="1:7" x14ac:dyDescent="0.4">
      <c r="D9" s="3">
        <f>F2</f>
        <v>38000</v>
      </c>
      <c r="E9" s="3">
        <f>F2</f>
        <v>38000</v>
      </c>
      <c r="F9" s="3"/>
      <c r="G9" s="3">
        <f>280000+D9+$A$7*E9</f>
        <v>336240</v>
      </c>
    </row>
    <row r="10" spans="1:7" x14ac:dyDescent="0.4">
      <c r="A10" t="s">
        <v>14</v>
      </c>
      <c r="D10" s="3"/>
      <c r="E10" s="3"/>
      <c r="F10" s="3"/>
      <c r="G10" s="3">
        <f>AVERAGE(G6:G9)</f>
        <v>353260</v>
      </c>
    </row>
    <row r="11" spans="1:7" x14ac:dyDescent="0.4">
      <c r="D11" s="3"/>
      <c r="E11" s="3"/>
      <c r="F11" s="3"/>
      <c r="G11" s="3"/>
    </row>
    <row r="12" spans="1:7" x14ac:dyDescent="0.4">
      <c r="A12" t="s">
        <v>17</v>
      </c>
      <c r="D12" s="3">
        <f>F3</f>
        <v>61000</v>
      </c>
      <c r="E12" s="3">
        <f>F3</f>
        <v>61000</v>
      </c>
      <c r="F12" s="3"/>
      <c r="G12" s="3">
        <f>280000+D12+$A$13*E12</f>
        <v>346490</v>
      </c>
    </row>
    <row r="13" spans="1:7" x14ac:dyDescent="0.4">
      <c r="A13">
        <v>0.09</v>
      </c>
      <c r="D13" s="3">
        <f>F3</f>
        <v>61000</v>
      </c>
      <c r="E13" s="3">
        <f>F2</f>
        <v>38000</v>
      </c>
      <c r="F13" s="3"/>
      <c r="G13" s="3">
        <f>280000+D13+$A$13*E13</f>
        <v>344420</v>
      </c>
    </row>
    <row r="14" spans="1:7" x14ac:dyDescent="0.4">
      <c r="D14" s="3">
        <f>F2</f>
        <v>38000</v>
      </c>
      <c r="E14" s="3">
        <f>F3</f>
        <v>61000</v>
      </c>
      <c r="F14" s="3"/>
      <c r="G14" s="3">
        <f>280000+D14+$A$13*E14</f>
        <v>323490</v>
      </c>
    </row>
    <row r="15" spans="1:7" x14ac:dyDescent="0.4">
      <c r="D15" s="3">
        <f>F2</f>
        <v>38000</v>
      </c>
      <c r="E15" s="3">
        <f>F2</f>
        <v>38000</v>
      </c>
      <c r="F15" s="3"/>
      <c r="G15" s="3">
        <f>280000+D15+$A$13*E15</f>
        <v>321420</v>
      </c>
    </row>
    <row r="16" spans="1:7" x14ac:dyDescent="0.4">
      <c r="A16" t="s">
        <v>14</v>
      </c>
      <c r="D16" s="3"/>
      <c r="E16" s="3"/>
      <c r="F16" s="3"/>
      <c r="G16" s="3">
        <f>AVERAGE(G12:G15)</f>
        <v>333955</v>
      </c>
    </row>
    <row r="18" spans="1:7" x14ac:dyDescent="0.4">
      <c r="A18" t="s">
        <v>20</v>
      </c>
      <c r="G18" s="4">
        <f>(G10-G16)/G10</f>
        <v>5.4648134518484971E-2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72</vt:i4>
      </vt:variant>
    </vt:vector>
  </HeadingPairs>
  <TitlesOfParts>
    <vt:vector size="74" baseType="lpstr">
      <vt:lpstr>Daten</vt:lpstr>
      <vt:lpstr>Abweichung</vt:lpstr>
      <vt:lpstr>FLO_c_r_3112_c_3112</vt:lpstr>
      <vt:lpstr>FLO_c_r_3113_c_3113</vt:lpstr>
      <vt:lpstr>FLO_c_r_3114_c_3114</vt:lpstr>
      <vt:lpstr>FLO_c_r_3115_c_3115</vt:lpstr>
      <vt:lpstr>FLO_c_r_3116_c_3116</vt:lpstr>
      <vt:lpstr>FLO_c_r_3117_c_3117</vt:lpstr>
      <vt:lpstr>FLO_c_r_3118_c_3118</vt:lpstr>
      <vt:lpstr>FLO_c_r_3119_c_3119</vt:lpstr>
      <vt:lpstr>FLO_c_r_3120_c_3120</vt:lpstr>
      <vt:lpstr>FLO_c_r_3121_c_3121</vt:lpstr>
      <vt:lpstr>FLO_c_r_3122_c_3122</vt:lpstr>
      <vt:lpstr>FLO_c_r_3123_c_3123</vt:lpstr>
      <vt:lpstr>FLO_c_r_3124_c_3124</vt:lpstr>
      <vt:lpstr>FLO_c_r_3125_c_3125</vt:lpstr>
      <vt:lpstr>FLO_i_c_3112</vt:lpstr>
      <vt:lpstr>FLO_i_c_3113</vt:lpstr>
      <vt:lpstr>FLO_i_c_3114</vt:lpstr>
      <vt:lpstr>FLO_i_c_3115</vt:lpstr>
      <vt:lpstr>FLO_i_c_3116</vt:lpstr>
      <vt:lpstr>FLO_i_c_3117</vt:lpstr>
      <vt:lpstr>FLO_i_c_3118</vt:lpstr>
      <vt:lpstr>FLO_i_c_3119</vt:lpstr>
      <vt:lpstr>FLO_i_c_3120</vt:lpstr>
      <vt:lpstr>FLO_i_c_3121</vt:lpstr>
      <vt:lpstr>FLO_i_c_3122</vt:lpstr>
      <vt:lpstr>FLO_i_c_3123</vt:lpstr>
      <vt:lpstr>FLO_i_c_3124</vt:lpstr>
      <vt:lpstr>FLO_i_c_3125</vt:lpstr>
      <vt:lpstr>FLO_i_MA_Parameter</vt:lpstr>
      <vt:lpstr>FLO_i_r_3112</vt:lpstr>
      <vt:lpstr>FLO_i_r_3113</vt:lpstr>
      <vt:lpstr>FLO_i_r_3114</vt:lpstr>
      <vt:lpstr>FLO_i_r_3115</vt:lpstr>
      <vt:lpstr>FLO_i_r_3116</vt:lpstr>
      <vt:lpstr>FLO_i_r_3117</vt:lpstr>
      <vt:lpstr>FLO_i_r_3118</vt:lpstr>
      <vt:lpstr>FLO_i_r_3119</vt:lpstr>
      <vt:lpstr>FLO_i_r_3120</vt:lpstr>
      <vt:lpstr>FLO_i_r_3121</vt:lpstr>
      <vt:lpstr>FLO_i_r_3122</vt:lpstr>
      <vt:lpstr>FLO_i_r_3123</vt:lpstr>
      <vt:lpstr>FLO_i_r_3124</vt:lpstr>
      <vt:lpstr>FLO_i_r_3125</vt:lpstr>
      <vt:lpstr>FLO_o_e_3112</vt:lpstr>
      <vt:lpstr>FLO_o_e_3113</vt:lpstr>
      <vt:lpstr>FLO_o_e_3114</vt:lpstr>
      <vt:lpstr>FLO_o_e_3115</vt:lpstr>
      <vt:lpstr>FLO_o_e_3116</vt:lpstr>
      <vt:lpstr>FLO_o_e_3117</vt:lpstr>
      <vt:lpstr>FLO_o_e_3118</vt:lpstr>
      <vt:lpstr>FLO_o_e_3119</vt:lpstr>
      <vt:lpstr>FLO_o_e_3120</vt:lpstr>
      <vt:lpstr>FLO_o_e_3121</vt:lpstr>
      <vt:lpstr>FLO_o_e_3122</vt:lpstr>
      <vt:lpstr>FLO_o_e_3123</vt:lpstr>
      <vt:lpstr>FLO_o_e_3124</vt:lpstr>
      <vt:lpstr>FLO_o_e_3125</vt:lpstr>
      <vt:lpstr>FLO_o_Earnings</vt:lpstr>
      <vt:lpstr>FLO_o_S_3112</vt:lpstr>
      <vt:lpstr>FLO_o_S_3113</vt:lpstr>
      <vt:lpstr>FLO_o_S_3114</vt:lpstr>
      <vt:lpstr>FLO_o_S_3115</vt:lpstr>
      <vt:lpstr>FLO_o_S_3116</vt:lpstr>
      <vt:lpstr>FLO_o_S_3117</vt:lpstr>
      <vt:lpstr>FLO_o_S_3118</vt:lpstr>
      <vt:lpstr>FLO_o_S_3119</vt:lpstr>
      <vt:lpstr>FLO_o_S_3120</vt:lpstr>
      <vt:lpstr>FLO_o_S_3121</vt:lpstr>
      <vt:lpstr>FLO_o_S_3122</vt:lpstr>
      <vt:lpstr>FLO_o_S_3123</vt:lpstr>
      <vt:lpstr>FLO_o_S_3124</vt:lpstr>
      <vt:lpstr>FLO_o_S_3125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2018-04-28T15:33:43Z</dcterms:created>
  <dcterms:modified xsi:type="dcterms:W3CDTF">2018-06-04T12:37:53Z</dcterms:modified>
</cp:coreProperties>
</file>